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7950"/>
  </bookViews>
  <sheets>
    <sheet name="舍号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49" i="1"/>
  <c r="L48"/>
  <c r="K48"/>
  <c r="J48"/>
  <c r="G48"/>
  <c r="B48"/>
  <c r="L47"/>
  <c r="K47"/>
  <c r="J47"/>
  <c r="G47"/>
  <c r="B47"/>
  <c r="L46"/>
  <c r="K46"/>
  <c r="J46"/>
  <c r="G46"/>
  <c r="B46"/>
  <c r="L45"/>
  <c r="K45"/>
  <c r="J45"/>
  <c r="G45"/>
  <c r="B45"/>
  <c r="L44"/>
  <c r="K44"/>
  <c r="J44"/>
  <c r="G44"/>
  <c r="B44"/>
  <c r="L43"/>
  <c r="K43"/>
  <c r="J43"/>
  <c r="G43"/>
  <c r="B43"/>
  <c r="L42"/>
  <c r="K42"/>
  <c r="J42"/>
  <c r="G42"/>
  <c r="B42"/>
  <c r="L41"/>
  <c r="K41"/>
  <c r="J41"/>
  <c r="G41"/>
  <c r="B41"/>
  <c r="L40"/>
  <c r="K40"/>
  <c r="J40"/>
  <c r="G40"/>
  <c r="B40"/>
  <c r="L39"/>
  <c r="K39"/>
  <c r="J39"/>
  <c r="G39"/>
  <c r="B39"/>
  <c r="L38"/>
  <c r="K38"/>
  <c r="J38"/>
  <c r="G38"/>
  <c r="B38"/>
  <c r="L37"/>
  <c r="K37"/>
  <c r="J37"/>
  <c r="G37"/>
  <c r="B37"/>
  <c r="L36"/>
  <c r="K36"/>
  <c r="J36"/>
  <c r="G36"/>
  <c r="B36"/>
  <c r="L35"/>
  <c r="K35"/>
  <c r="J35"/>
  <c r="G35"/>
  <c r="B35"/>
  <c r="L34"/>
  <c r="K34"/>
  <c r="J34"/>
  <c r="G34"/>
  <c r="B34"/>
  <c r="L33"/>
  <c r="K33"/>
  <c r="J33"/>
  <c r="G33"/>
  <c r="B33"/>
  <c r="L32"/>
  <c r="K32"/>
  <c r="J32"/>
  <c r="G32"/>
  <c r="B32"/>
  <c r="L31"/>
  <c r="K31"/>
  <c r="J31"/>
  <c r="G31"/>
  <c r="B31"/>
  <c r="L30"/>
  <c r="K30"/>
  <c r="J30"/>
  <c r="G30"/>
  <c r="B30"/>
  <c r="L29"/>
  <c r="K29"/>
  <c r="J29"/>
  <c r="G29"/>
  <c r="B29"/>
  <c r="L28"/>
  <c r="K28"/>
  <c r="J28"/>
  <c r="G28"/>
  <c r="B28"/>
  <c r="L27"/>
  <c r="K27"/>
  <c r="J27"/>
  <c r="G27"/>
  <c r="B27"/>
  <c r="L26"/>
  <c r="K26"/>
  <c r="J26"/>
  <c r="G26"/>
  <c r="B26"/>
  <c r="L25"/>
  <c r="K25"/>
  <c r="J25"/>
  <c r="G25"/>
  <c r="B25"/>
  <c r="L24"/>
  <c r="K24"/>
  <c r="J24"/>
  <c r="G24"/>
  <c r="B24"/>
  <c r="L23"/>
  <c r="K23"/>
  <c r="J23"/>
  <c r="G23"/>
  <c r="B23"/>
  <c r="J22"/>
  <c r="G22"/>
  <c r="B22"/>
  <c r="L21"/>
  <c r="K21"/>
  <c r="J21"/>
  <c r="G21"/>
  <c r="B21"/>
  <c r="L20"/>
  <c r="K20"/>
  <c r="J20"/>
  <c r="G20"/>
  <c r="B20"/>
  <c r="L19"/>
  <c r="K19"/>
  <c r="J19"/>
  <c r="G19"/>
  <c r="B19"/>
  <c r="L18"/>
  <c r="K18"/>
  <c r="J18"/>
  <c r="G18"/>
  <c r="B18"/>
  <c r="L17"/>
  <c r="K17"/>
  <c r="J17"/>
  <c r="G17"/>
  <c r="B17"/>
  <c r="L16"/>
  <c r="K16"/>
  <c r="J16"/>
  <c r="G16"/>
  <c r="B16"/>
  <c r="L15"/>
  <c r="K15"/>
  <c r="J15"/>
  <c r="G15"/>
  <c r="B15"/>
  <c r="L14"/>
  <c r="K14"/>
  <c r="J14"/>
  <c r="G14"/>
  <c r="B14"/>
  <c r="L13"/>
  <c r="K13"/>
  <c r="J13"/>
  <c r="G13"/>
  <c r="B13"/>
  <c r="L12"/>
  <c r="K12"/>
  <c r="J12"/>
  <c r="G12"/>
  <c r="B12"/>
  <c r="L11"/>
  <c r="K11"/>
  <c r="J11"/>
  <c r="G11"/>
  <c r="B11"/>
  <c r="L10"/>
  <c r="K10"/>
  <c r="J10"/>
  <c r="G10"/>
  <c r="B10"/>
  <c r="L9"/>
  <c r="K9"/>
  <c r="J9"/>
  <c r="G9"/>
  <c r="B9"/>
  <c r="L8"/>
  <c r="K8"/>
  <c r="J8"/>
  <c r="G8"/>
  <c r="B8"/>
  <c r="L7"/>
  <c r="K7"/>
  <c r="J7"/>
  <c r="G7"/>
  <c r="B7"/>
  <c r="K22" l="1"/>
  <c r="L22" s="1"/>
</calcChain>
</file>

<file path=xl/comments1.xml><?xml version="1.0" encoding="utf-8"?>
<comments xmlns="http://schemas.openxmlformats.org/spreadsheetml/2006/main">
  <authors>
    <author>USER</author>
  </authors>
  <commentList>
    <comment ref="B6" authorId="0">
      <text>
        <r>
          <rPr>
            <sz val="9"/>
            <rFont val="宋体"/>
            <charset val="134"/>
          </rPr>
          <t>标准饮水数据来源于日报表
温度2.5为单位（-10-35）
湿度5为单位（20-100）
黄色勿动</t>
        </r>
      </text>
    </comment>
  </commentList>
</comments>
</file>

<file path=xl/sharedStrings.xml><?xml version="1.0" encoding="utf-8"?>
<sst xmlns="http://schemas.openxmlformats.org/spreadsheetml/2006/main" count="16" uniqueCount="16">
  <si>
    <t>湿度维持计算方法</t>
  </si>
  <si>
    <t>进鸡数(只)</t>
  </si>
  <si>
    <t>风扇效率
（cfm）</t>
  </si>
  <si>
    <t>日龄</t>
  </si>
  <si>
    <t>标准饮水
量(kg)</t>
  </si>
  <si>
    <t>实际饮水
量(kg)</t>
  </si>
  <si>
    <t>排泄率</t>
  </si>
  <si>
    <t>鸡舍温度</t>
  </si>
  <si>
    <t>鸡舍湿度</t>
  </si>
  <si>
    <t>舍内空气
含水量(m3)</t>
  </si>
  <si>
    <t>外界温度</t>
  </si>
  <si>
    <t>外界湿度</t>
  </si>
  <si>
    <t>舍外空气
含水量(m3)</t>
  </si>
  <si>
    <t>风机排湿
（g/s）</t>
  </si>
  <si>
    <t>每5分钟开启秒数</t>
  </si>
  <si>
    <t>g/m3</t>
  </si>
</sst>
</file>

<file path=xl/styles.xml><?xml version="1.0" encoding="utf-8"?>
<styleSheet xmlns="http://schemas.openxmlformats.org/spreadsheetml/2006/main">
  <numFmts count="2">
    <numFmt numFmtId="176" formatCode="0.0_ "/>
    <numFmt numFmtId="177" formatCode="0_ "/>
  </numFmts>
  <fonts count="6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vertical="center" wrapText="1"/>
    </xf>
    <xf numFmtId="177" fontId="0" fillId="3" borderId="1" xfId="0" applyNumberFormat="1" applyFill="1" applyBorder="1" applyAlignment="1">
      <alignment horizontal="center" vertical="center"/>
    </xf>
    <xf numFmtId="9" fontId="0" fillId="0" borderId="1" xfId="0" applyNumberFormat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176" fontId="0" fillId="3" borderId="1" xfId="0" applyNumberFormat="1" applyFill="1" applyBorder="1">
      <alignment vertical="center"/>
    </xf>
    <xf numFmtId="0" fontId="3" fillId="3" borderId="1" xfId="0" applyFont="1" applyFill="1" applyBorder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49"/>
  <sheetViews>
    <sheetView tabSelected="1" workbookViewId="0">
      <selection activeCell="E22" sqref="E22"/>
    </sheetView>
  </sheetViews>
  <sheetFormatPr defaultColWidth="9" defaultRowHeight="13.5"/>
  <cols>
    <col min="1" max="1" width="9" style="1"/>
    <col min="2" max="2" width="10.875" style="2" customWidth="1"/>
    <col min="3" max="3" width="10.125" style="2" customWidth="1"/>
    <col min="4" max="4" width="10.5" style="1" hidden="1" customWidth="1"/>
    <col min="5" max="5" width="9.125" style="2" customWidth="1"/>
    <col min="6" max="6" width="8.625" style="2" customWidth="1"/>
    <col min="7" max="7" width="4.625" style="3" hidden="1" customWidth="1"/>
    <col min="8" max="9" width="9" style="2"/>
    <col min="10" max="10" width="9.5" style="3" hidden="1" customWidth="1"/>
    <col min="11" max="11" width="19.125" style="1" hidden="1" customWidth="1"/>
    <col min="12" max="12" width="15.25" style="1" customWidth="1"/>
    <col min="13" max="14" width="9" style="1"/>
    <col min="15" max="15" width="9" style="2" hidden="1" customWidth="1"/>
    <col min="16" max="16" width="5.875" style="2" hidden="1" customWidth="1"/>
    <col min="17" max="17" width="6.125" style="1" hidden="1" customWidth="1"/>
    <col min="18" max="18" width="5.875" style="1" hidden="1" customWidth="1"/>
    <col min="19" max="19" width="6.5" style="1" hidden="1" customWidth="1"/>
    <col min="20" max="20" width="5" style="1" hidden="1" customWidth="1"/>
    <col min="21" max="21" width="7.25" style="1" hidden="1" customWidth="1"/>
    <col min="22" max="22" width="6.25" style="1" hidden="1" customWidth="1"/>
    <col min="23" max="23" width="6.75" style="1" hidden="1" customWidth="1"/>
    <col min="24" max="24" width="8.875" style="1" hidden="1" customWidth="1"/>
    <col min="25" max="25" width="6.75" style="1" hidden="1" customWidth="1"/>
    <col min="26" max="26" width="6.5" style="1" hidden="1" customWidth="1"/>
    <col min="27" max="27" width="7.25" style="1" hidden="1" customWidth="1"/>
    <col min="28" max="28" width="8.875" style="1" hidden="1" customWidth="1"/>
    <col min="29" max="29" width="7.625" style="1" hidden="1" customWidth="1"/>
    <col min="30" max="30" width="6.625" style="1" hidden="1" customWidth="1"/>
    <col min="31" max="31" width="7.875" style="1" hidden="1" customWidth="1"/>
    <col min="32" max="32" width="6.125" style="1" hidden="1" customWidth="1"/>
    <col min="33" max="33" width="9" style="1" hidden="1" customWidth="1"/>
    <col min="34" max="16384" width="9" style="1"/>
  </cols>
  <sheetData>
    <row r="1" spans="1:32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6"/>
    </row>
    <row r="2" spans="1:32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9"/>
    </row>
    <row r="3" spans="1:32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2"/>
    </row>
    <row r="4" spans="1:32" ht="27">
      <c r="B4" s="4" t="s">
        <v>1</v>
      </c>
      <c r="C4" s="2">
        <v>30600</v>
      </c>
      <c r="E4" s="5" t="s">
        <v>2</v>
      </c>
      <c r="F4" s="6">
        <v>31000</v>
      </c>
    </row>
    <row r="6" spans="1:32" ht="67.5">
      <c r="A6" s="4" t="s">
        <v>3</v>
      </c>
      <c r="B6" s="5" t="s">
        <v>4</v>
      </c>
      <c r="C6" s="5" t="s">
        <v>5</v>
      </c>
      <c r="D6" s="7" t="s">
        <v>6</v>
      </c>
      <c r="E6" s="4" t="s">
        <v>7</v>
      </c>
      <c r="F6" s="4" t="s">
        <v>8</v>
      </c>
      <c r="G6" s="8" t="s">
        <v>9</v>
      </c>
      <c r="H6" s="4" t="s">
        <v>10</v>
      </c>
      <c r="I6" s="4" t="s">
        <v>11</v>
      </c>
      <c r="J6" s="8" t="s">
        <v>12</v>
      </c>
      <c r="K6" s="8" t="s">
        <v>13</v>
      </c>
      <c r="L6" s="7" t="s">
        <v>14</v>
      </c>
      <c r="O6" s="11" t="s">
        <v>15</v>
      </c>
      <c r="P6" s="11">
        <v>20</v>
      </c>
      <c r="Q6" s="13">
        <v>25</v>
      </c>
      <c r="R6" s="13">
        <v>30</v>
      </c>
      <c r="S6" s="13">
        <v>35</v>
      </c>
      <c r="T6" s="13">
        <v>40</v>
      </c>
      <c r="U6" s="13">
        <v>45</v>
      </c>
      <c r="V6" s="13">
        <v>50</v>
      </c>
      <c r="W6" s="13">
        <v>55</v>
      </c>
      <c r="X6" s="13">
        <v>60</v>
      </c>
      <c r="Y6" s="13">
        <v>65</v>
      </c>
      <c r="Z6" s="13">
        <v>70</v>
      </c>
      <c r="AA6" s="13">
        <v>75</v>
      </c>
      <c r="AB6" s="13">
        <v>80</v>
      </c>
      <c r="AC6" s="13">
        <v>85</v>
      </c>
      <c r="AD6" s="13">
        <v>90</v>
      </c>
      <c r="AE6" s="13">
        <v>95</v>
      </c>
      <c r="AF6" s="13">
        <v>100</v>
      </c>
    </row>
    <row r="7" spans="1:32">
      <c r="A7" s="4">
        <v>1</v>
      </c>
      <c r="B7" s="9">
        <f>24*$C$4/1000</f>
        <v>734.4</v>
      </c>
      <c r="C7" s="2">
        <v>800</v>
      </c>
      <c r="D7" s="10">
        <v>0.8</v>
      </c>
      <c r="E7" s="2">
        <v>32.5</v>
      </c>
      <c r="F7" s="2">
        <v>65</v>
      </c>
      <c r="G7" s="3">
        <f>INDEX($P$7:$AF$25,MATCH(E7,$O$7:$O$25,0),MATCH(F7,$P$6:$AF$6,0))</f>
        <v>24.225000000000001</v>
      </c>
      <c r="H7" s="2">
        <v>0</v>
      </c>
      <c r="I7" s="2">
        <v>60</v>
      </c>
      <c r="J7" s="3">
        <f>INDEX($P$7:$AF$25,MATCH(H7,$O$7:$O$25,0),MATCH(I7,$P$6:$AF$6,0))</f>
        <v>2.7</v>
      </c>
      <c r="K7" s="1">
        <f>(G7-J7)*$F$4/60*0.0283</f>
        <v>314.73137500000001</v>
      </c>
      <c r="L7" s="12">
        <f>C7*D7*1000/24/60*5/K7</f>
        <v>7.0606949250681499</v>
      </c>
      <c r="O7" s="11">
        <v>-10</v>
      </c>
      <c r="P7" s="4">
        <v>0.4</v>
      </c>
      <c r="Q7" s="1">
        <v>0.5</v>
      </c>
      <c r="R7" s="7">
        <v>0.6</v>
      </c>
      <c r="S7" s="1">
        <v>0.7</v>
      </c>
      <c r="T7" s="7">
        <v>0.8</v>
      </c>
      <c r="U7" s="1">
        <v>0.85</v>
      </c>
      <c r="V7" s="7">
        <v>0.9</v>
      </c>
      <c r="W7" s="1">
        <v>1</v>
      </c>
      <c r="X7" s="7">
        <v>1.1000000000000001</v>
      </c>
      <c r="Y7" s="1">
        <v>1.2</v>
      </c>
      <c r="Z7" s="7">
        <v>1.3</v>
      </c>
      <c r="AA7" s="1">
        <v>1.4</v>
      </c>
      <c r="AB7" s="7">
        <v>1.5</v>
      </c>
      <c r="AC7" s="1">
        <v>1.6</v>
      </c>
      <c r="AD7" s="7">
        <v>1.7</v>
      </c>
      <c r="AE7" s="1">
        <v>1.8</v>
      </c>
      <c r="AF7" s="7">
        <v>1.9</v>
      </c>
    </row>
    <row r="8" spans="1:32">
      <c r="A8" s="4">
        <v>2</v>
      </c>
      <c r="B8" s="9">
        <f>36*$C$4/1000</f>
        <v>1101.5999999999999</v>
      </c>
      <c r="C8" s="2">
        <v>1000</v>
      </c>
      <c r="D8" s="10">
        <v>0.8</v>
      </c>
      <c r="E8" s="2">
        <v>32.5</v>
      </c>
      <c r="F8" s="2">
        <v>65</v>
      </c>
      <c r="G8" s="3">
        <f t="shared" ref="G8:G19" si="0">INDEX($P$7:$AF$25,MATCH(E8,$O$7:$O$25,0),MATCH(F8,$P$6:$AF$6,0))</f>
        <v>24.225000000000001</v>
      </c>
      <c r="H8" s="2">
        <v>-7.5</v>
      </c>
      <c r="I8" s="2">
        <v>30</v>
      </c>
      <c r="J8" s="3">
        <f t="shared" ref="J8:J41" si="1">INDEX($P$7:$AF$25,MATCH(H8,$O$7:$O$25,0),MATCH(I8,$P$6:$AF$6,0))</f>
        <v>0.75</v>
      </c>
      <c r="K8" s="1">
        <f t="shared" ref="K8:K48" si="2">(G8-J8)*$F$4/60*0.0283</f>
        <v>343.24362500000001</v>
      </c>
      <c r="L8" s="12">
        <f t="shared" ref="L8:L48" si="3">C8*D8*1000/24/60*5/K8</f>
        <v>8.0927294069271607</v>
      </c>
      <c r="O8" s="11">
        <v>-7.5</v>
      </c>
      <c r="P8" s="2">
        <v>0.5</v>
      </c>
      <c r="Q8" s="1">
        <v>0.625</v>
      </c>
      <c r="R8" s="1">
        <v>0.75</v>
      </c>
      <c r="S8" s="1">
        <v>0.875</v>
      </c>
      <c r="T8" s="1">
        <v>1</v>
      </c>
      <c r="U8" s="1">
        <v>1.1000000000000001</v>
      </c>
      <c r="V8" s="1">
        <v>1.2</v>
      </c>
      <c r="W8" s="1">
        <v>1.325</v>
      </c>
      <c r="X8" s="1">
        <v>1.45</v>
      </c>
      <c r="Y8" s="1">
        <v>1.575</v>
      </c>
      <c r="Z8" s="1">
        <v>1.7</v>
      </c>
      <c r="AA8" s="1">
        <v>1.825</v>
      </c>
      <c r="AB8" s="1">
        <v>1.95</v>
      </c>
      <c r="AC8" s="1">
        <v>2.0750000000000002</v>
      </c>
      <c r="AD8" s="1">
        <v>2.2000000000000002</v>
      </c>
      <c r="AE8" s="1">
        <v>2.2999999999999998</v>
      </c>
      <c r="AF8" s="1">
        <v>2.4</v>
      </c>
    </row>
    <row r="9" spans="1:32">
      <c r="A9" s="4">
        <v>3</v>
      </c>
      <c r="B9" s="9">
        <f>41*$C$4/1000</f>
        <v>1254.5999999999999</v>
      </c>
      <c r="C9" s="2">
        <v>1200</v>
      </c>
      <c r="D9" s="10">
        <v>0.8</v>
      </c>
      <c r="E9" s="2">
        <v>32.5</v>
      </c>
      <c r="F9" s="2">
        <v>65</v>
      </c>
      <c r="G9" s="3">
        <f t="shared" si="0"/>
        <v>24.225000000000001</v>
      </c>
      <c r="H9" s="2">
        <v>-2.5</v>
      </c>
      <c r="I9" s="2">
        <v>75</v>
      </c>
      <c r="J9" s="3">
        <f t="shared" si="1"/>
        <v>2.8</v>
      </c>
      <c r="K9" s="1">
        <f t="shared" si="2"/>
        <v>313.26920833333298</v>
      </c>
      <c r="L9" s="12">
        <f t="shared" si="3"/>
        <v>10.640475490928299</v>
      </c>
      <c r="O9" s="11">
        <v>-5</v>
      </c>
      <c r="P9" s="4">
        <v>0.6</v>
      </c>
      <c r="Q9" s="1">
        <v>0.75</v>
      </c>
      <c r="R9" s="7">
        <v>0.9</v>
      </c>
      <c r="S9" s="1">
        <v>1.05</v>
      </c>
      <c r="T9" s="7">
        <v>1.2</v>
      </c>
      <c r="U9" s="1">
        <v>1.35</v>
      </c>
      <c r="V9" s="7">
        <v>1.5</v>
      </c>
      <c r="W9" s="1">
        <v>1.65</v>
      </c>
      <c r="X9" s="7">
        <v>1.8</v>
      </c>
      <c r="Y9" s="1">
        <v>1.95</v>
      </c>
      <c r="Z9" s="7">
        <v>2.1</v>
      </c>
      <c r="AA9" s="1">
        <v>2.25</v>
      </c>
      <c r="AB9" s="7">
        <v>2.4</v>
      </c>
      <c r="AC9" s="1">
        <v>2.5499999999999998</v>
      </c>
      <c r="AD9" s="7">
        <v>2.7</v>
      </c>
      <c r="AE9" s="1">
        <v>2.8</v>
      </c>
      <c r="AF9" s="7">
        <v>2.9</v>
      </c>
    </row>
    <row r="10" spans="1:32">
      <c r="A10" s="4">
        <v>4</v>
      </c>
      <c r="B10" s="9">
        <f>45*$C$4/1000</f>
        <v>1377</v>
      </c>
      <c r="C10" s="2">
        <v>1500</v>
      </c>
      <c r="D10" s="10">
        <v>0.8</v>
      </c>
      <c r="E10" s="2">
        <v>32.5</v>
      </c>
      <c r="F10" s="2">
        <v>65</v>
      </c>
      <c r="G10" s="3">
        <f t="shared" si="0"/>
        <v>24.225000000000001</v>
      </c>
      <c r="H10" s="2">
        <v>-2.5</v>
      </c>
      <c r="I10" s="2">
        <v>75</v>
      </c>
      <c r="J10" s="3">
        <f t="shared" si="1"/>
        <v>2.8</v>
      </c>
      <c r="K10" s="1">
        <f t="shared" si="2"/>
        <v>313.26920833333298</v>
      </c>
      <c r="L10" s="12">
        <f t="shared" si="3"/>
        <v>13.3005943636603</v>
      </c>
      <c r="O10" s="11">
        <v>-2.5</v>
      </c>
      <c r="P10" s="2">
        <v>0.75</v>
      </c>
      <c r="Q10" s="1">
        <v>0.92500000000000004</v>
      </c>
      <c r="R10" s="1">
        <v>1.1000000000000001</v>
      </c>
      <c r="S10" s="1">
        <v>1.3</v>
      </c>
      <c r="T10" s="1">
        <v>1.5</v>
      </c>
      <c r="U10" s="1">
        <v>1.675</v>
      </c>
      <c r="V10" s="1">
        <v>1.85</v>
      </c>
      <c r="W10" s="1">
        <v>2.0499999999999998</v>
      </c>
      <c r="X10" s="1">
        <v>2.25</v>
      </c>
      <c r="Y10" s="1">
        <v>4.4249999999999998</v>
      </c>
      <c r="Z10" s="1">
        <v>2.6</v>
      </c>
      <c r="AA10" s="1">
        <v>2.8</v>
      </c>
      <c r="AB10" s="1">
        <v>3</v>
      </c>
      <c r="AC10" s="1">
        <v>3.1749999999999998</v>
      </c>
      <c r="AD10" s="1">
        <v>3.35</v>
      </c>
      <c r="AE10" s="1">
        <v>3.5249999999999999</v>
      </c>
      <c r="AF10" s="1">
        <v>3.7</v>
      </c>
    </row>
    <row r="11" spans="1:32">
      <c r="A11" s="4">
        <v>5</v>
      </c>
      <c r="B11" s="9">
        <f>48*$C$4/1000</f>
        <v>1468.8</v>
      </c>
      <c r="C11" s="2">
        <v>5000</v>
      </c>
      <c r="D11" s="10">
        <v>0.8</v>
      </c>
      <c r="G11" s="3" t="e">
        <f t="shared" si="0"/>
        <v>#N/A</v>
      </c>
      <c r="J11" s="3" t="e">
        <f t="shared" si="1"/>
        <v>#N/A</v>
      </c>
      <c r="K11" s="1" t="e">
        <f t="shared" si="2"/>
        <v>#N/A</v>
      </c>
      <c r="L11" s="12" t="e">
        <f t="shared" si="3"/>
        <v>#N/A</v>
      </c>
      <c r="O11" s="11">
        <v>0</v>
      </c>
      <c r="P11" s="4">
        <v>0.9</v>
      </c>
      <c r="Q11" s="1">
        <v>1.1000000000000001</v>
      </c>
      <c r="R11" s="7">
        <v>1.3</v>
      </c>
      <c r="S11" s="1">
        <v>1.55</v>
      </c>
      <c r="T11" s="7">
        <v>1.8</v>
      </c>
      <c r="U11" s="1">
        <v>2</v>
      </c>
      <c r="V11" s="7">
        <v>2.2000000000000002</v>
      </c>
      <c r="W11" s="1">
        <v>2.4500000000000002</v>
      </c>
      <c r="X11" s="7">
        <v>2.7</v>
      </c>
      <c r="Y11" s="1">
        <v>2.9</v>
      </c>
      <c r="Z11" s="7">
        <v>3.1</v>
      </c>
      <c r="AA11" s="1">
        <v>3.35</v>
      </c>
      <c r="AB11" s="7">
        <v>3.6</v>
      </c>
      <c r="AC11" s="1">
        <v>3.8</v>
      </c>
      <c r="AD11" s="7">
        <v>4</v>
      </c>
      <c r="AE11" s="1">
        <v>4.25</v>
      </c>
      <c r="AF11" s="7">
        <v>4.5</v>
      </c>
    </row>
    <row r="12" spans="1:32">
      <c r="A12" s="4">
        <v>6</v>
      </c>
      <c r="B12" s="9">
        <f>57*$C$4/1000</f>
        <v>1744.2</v>
      </c>
      <c r="D12" s="10">
        <v>0.8</v>
      </c>
      <c r="G12" s="3" t="e">
        <f t="shared" si="0"/>
        <v>#N/A</v>
      </c>
      <c r="J12" s="3" t="e">
        <f t="shared" si="1"/>
        <v>#N/A</v>
      </c>
      <c r="K12" s="1" t="e">
        <f t="shared" si="2"/>
        <v>#N/A</v>
      </c>
      <c r="L12" s="12" t="e">
        <f t="shared" si="3"/>
        <v>#N/A</v>
      </c>
      <c r="O12" s="11">
        <v>2.5</v>
      </c>
      <c r="P12" s="2">
        <v>1.1000000000000001</v>
      </c>
      <c r="Q12" s="1">
        <v>1.35</v>
      </c>
      <c r="R12" s="1">
        <v>1.6</v>
      </c>
      <c r="S12" s="1">
        <v>1.9</v>
      </c>
      <c r="T12" s="1">
        <v>2.2000000000000002</v>
      </c>
      <c r="U12" s="1">
        <v>2.4500000000000002</v>
      </c>
      <c r="V12" s="1">
        <v>2.7</v>
      </c>
      <c r="W12" s="1">
        <v>2.9750000000000001</v>
      </c>
      <c r="X12" s="1">
        <v>3.25</v>
      </c>
      <c r="Y12" s="1">
        <v>3.5249999999999999</v>
      </c>
      <c r="Z12" s="1">
        <v>3.8</v>
      </c>
      <c r="AA12" s="1">
        <v>4.0750000000000002</v>
      </c>
      <c r="AB12" s="1">
        <v>4.3499999999999996</v>
      </c>
      <c r="AC12" s="1">
        <v>4.625</v>
      </c>
      <c r="AD12" s="1">
        <v>4.9000000000000004</v>
      </c>
      <c r="AE12" s="1">
        <v>5.1749999999999998</v>
      </c>
      <c r="AF12" s="1">
        <v>5.45</v>
      </c>
    </row>
    <row r="13" spans="1:32">
      <c r="A13" s="4">
        <v>7</v>
      </c>
      <c r="B13" s="9">
        <f>64*$C$4/1000</f>
        <v>1958.4</v>
      </c>
      <c r="C13" s="2">
        <v>1800</v>
      </c>
      <c r="D13" s="10">
        <v>0.8</v>
      </c>
      <c r="E13" s="2">
        <v>30</v>
      </c>
      <c r="F13" s="2">
        <v>65</v>
      </c>
      <c r="G13" s="3">
        <f t="shared" si="0"/>
        <v>20.75</v>
      </c>
      <c r="H13" s="2">
        <v>5</v>
      </c>
      <c r="I13" s="2">
        <v>70</v>
      </c>
      <c r="J13" s="3">
        <f t="shared" si="1"/>
        <v>4.5</v>
      </c>
      <c r="K13" s="1">
        <f t="shared" si="2"/>
        <v>237.60208333333301</v>
      </c>
      <c r="L13" s="12">
        <f t="shared" si="3"/>
        <v>21.043586528597402</v>
      </c>
      <c r="O13" s="11">
        <v>5</v>
      </c>
      <c r="P13" s="4">
        <v>1.3</v>
      </c>
      <c r="Q13" s="1">
        <v>1.6</v>
      </c>
      <c r="R13" s="7">
        <v>1.9</v>
      </c>
      <c r="S13" s="1">
        <v>2.25</v>
      </c>
      <c r="T13" s="7">
        <v>2.6</v>
      </c>
      <c r="U13" s="1">
        <v>2.9</v>
      </c>
      <c r="V13" s="7">
        <v>3.2</v>
      </c>
      <c r="W13" s="1">
        <v>3.5</v>
      </c>
      <c r="X13" s="7">
        <v>3.8</v>
      </c>
      <c r="Y13" s="1">
        <v>4.1500000000000004</v>
      </c>
      <c r="Z13" s="7">
        <v>4.5</v>
      </c>
      <c r="AA13" s="1">
        <v>4.8</v>
      </c>
      <c r="AB13" s="7">
        <v>5.0999999999999996</v>
      </c>
      <c r="AC13" s="1">
        <v>5.45</v>
      </c>
      <c r="AD13" s="7">
        <v>5.8</v>
      </c>
      <c r="AE13" s="1">
        <v>6.1</v>
      </c>
      <c r="AF13" s="7">
        <v>6.4</v>
      </c>
    </row>
    <row r="14" spans="1:32">
      <c r="A14" s="4">
        <v>8</v>
      </c>
      <c r="B14" s="9">
        <f>67.26*$C$4/1000</f>
        <v>2058.1560000000004</v>
      </c>
      <c r="D14" s="10">
        <v>0.8</v>
      </c>
      <c r="G14" s="3" t="e">
        <f t="shared" si="0"/>
        <v>#N/A</v>
      </c>
      <c r="J14" s="3" t="e">
        <f t="shared" si="1"/>
        <v>#N/A</v>
      </c>
      <c r="K14" s="1" t="e">
        <f t="shared" si="2"/>
        <v>#N/A</v>
      </c>
      <c r="L14" s="12" t="e">
        <f t="shared" si="3"/>
        <v>#N/A</v>
      </c>
      <c r="O14" s="11">
        <v>7.5</v>
      </c>
      <c r="P14" s="2">
        <v>1.55</v>
      </c>
      <c r="Q14" s="1">
        <v>1.925</v>
      </c>
      <c r="R14" s="1">
        <v>2.2999999999999998</v>
      </c>
      <c r="S14" s="1">
        <v>2.7</v>
      </c>
      <c r="T14" s="1">
        <v>3.1</v>
      </c>
      <c r="U14" s="1">
        <v>3.4750000000000001</v>
      </c>
      <c r="V14" s="1">
        <v>3.85</v>
      </c>
      <c r="W14" s="1">
        <v>4.2249999999999996</v>
      </c>
      <c r="X14" s="1">
        <v>4.5999999999999996</v>
      </c>
      <c r="Y14" s="1">
        <v>5</v>
      </c>
      <c r="Z14" s="1">
        <v>5.4</v>
      </c>
      <c r="AA14" s="1">
        <v>5.7750000000000004</v>
      </c>
      <c r="AB14" s="1">
        <v>6.15</v>
      </c>
      <c r="AC14" s="1">
        <v>6.5750000000000002</v>
      </c>
      <c r="AD14" s="1">
        <v>7</v>
      </c>
      <c r="AE14" s="1">
        <v>7.375</v>
      </c>
      <c r="AF14" s="1">
        <v>7.75</v>
      </c>
    </row>
    <row r="15" spans="1:32">
      <c r="A15" s="4">
        <v>9</v>
      </c>
      <c r="B15" s="9">
        <f>77.33*$C$4/1000</f>
        <v>2366.2979999999998</v>
      </c>
      <c r="D15" s="10">
        <v>0.8</v>
      </c>
      <c r="G15" s="3" t="e">
        <f t="shared" si="0"/>
        <v>#N/A</v>
      </c>
      <c r="J15" s="3" t="e">
        <f t="shared" si="1"/>
        <v>#N/A</v>
      </c>
      <c r="K15" s="1" t="e">
        <f t="shared" si="2"/>
        <v>#N/A</v>
      </c>
      <c r="L15" s="12" t="e">
        <f t="shared" si="3"/>
        <v>#N/A</v>
      </c>
      <c r="O15" s="11">
        <v>10</v>
      </c>
      <c r="P15" s="4">
        <v>1.8</v>
      </c>
      <c r="Q15" s="1">
        <v>2.25</v>
      </c>
      <c r="R15" s="7">
        <v>2.7</v>
      </c>
      <c r="S15" s="1">
        <v>3.15</v>
      </c>
      <c r="T15" s="7">
        <v>3.6</v>
      </c>
      <c r="U15" s="1">
        <v>4.05</v>
      </c>
      <c r="V15" s="7">
        <v>4.5</v>
      </c>
      <c r="W15" s="1">
        <v>4.95</v>
      </c>
      <c r="X15" s="7">
        <v>5.4</v>
      </c>
      <c r="Y15" s="1">
        <v>5.85</v>
      </c>
      <c r="Z15" s="7">
        <v>6.3</v>
      </c>
      <c r="AA15" s="1">
        <v>6.75</v>
      </c>
      <c r="AB15" s="7">
        <v>7.2</v>
      </c>
      <c r="AC15" s="1">
        <v>7.7</v>
      </c>
      <c r="AD15" s="7">
        <v>8.1999999999999993</v>
      </c>
      <c r="AE15" s="1">
        <v>8.65</v>
      </c>
      <c r="AF15" s="7">
        <v>9.1</v>
      </c>
    </row>
    <row r="16" spans="1:32">
      <c r="A16" s="4">
        <v>10</v>
      </c>
      <c r="B16" s="9">
        <f>87.59*$C$4/1000</f>
        <v>2680.2539999999999</v>
      </c>
      <c r="C16" s="2">
        <v>2500</v>
      </c>
      <c r="D16" s="10">
        <v>0.8</v>
      </c>
      <c r="E16" s="2">
        <v>27.5</v>
      </c>
      <c r="F16" s="2">
        <v>65</v>
      </c>
      <c r="G16" s="3">
        <f t="shared" si="0"/>
        <v>18.05</v>
      </c>
      <c r="H16" s="2">
        <v>-2.5</v>
      </c>
      <c r="I16" s="2">
        <v>60</v>
      </c>
      <c r="J16" s="3">
        <f t="shared" si="1"/>
        <v>2.25</v>
      </c>
      <c r="K16" s="1">
        <f t="shared" si="2"/>
        <v>231.02233333333299</v>
      </c>
      <c r="L16" s="12">
        <f t="shared" si="3"/>
        <v>30.059623865129002</v>
      </c>
      <c r="O16" s="11">
        <v>12.5</v>
      </c>
      <c r="P16" s="2">
        <v>2.15</v>
      </c>
      <c r="Q16" s="1">
        <v>2.6749999999999998</v>
      </c>
      <c r="R16" s="1">
        <v>3.2</v>
      </c>
      <c r="S16" s="1">
        <v>3.75</v>
      </c>
      <c r="T16" s="1">
        <v>4.3</v>
      </c>
      <c r="U16" s="1">
        <v>4.8499999999999996</v>
      </c>
      <c r="V16" s="1">
        <v>5.4</v>
      </c>
      <c r="W16" s="1">
        <v>5.9249999999999998</v>
      </c>
      <c r="X16" s="1">
        <v>6.45</v>
      </c>
      <c r="Y16" s="1">
        <v>7</v>
      </c>
      <c r="Z16" s="1">
        <v>7.55</v>
      </c>
      <c r="AA16" s="1">
        <v>8.1</v>
      </c>
      <c r="AB16" s="1">
        <v>8.65</v>
      </c>
      <c r="AC16" s="1">
        <v>9.2249999999999996</v>
      </c>
      <c r="AD16" s="1">
        <v>9.8000000000000007</v>
      </c>
      <c r="AE16" s="1">
        <v>10.35</v>
      </c>
      <c r="AF16" s="1">
        <v>10.9</v>
      </c>
    </row>
    <row r="17" spans="1:32">
      <c r="A17" s="4">
        <v>11</v>
      </c>
      <c r="B17" s="9">
        <f>98.42*$C$4/1000</f>
        <v>3011.652</v>
      </c>
      <c r="D17" s="10">
        <v>0.8</v>
      </c>
      <c r="G17" s="3" t="e">
        <f t="shared" si="0"/>
        <v>#N/A</v>
      </c>
      <c r="J17" s="3" t="e">
        <f t="shared" si="1"/>
        <v>#N/A</v>
      </c>
      <c r="K17" s="1" t="e">
        <f t="shared" si="2"/>
        <v>#N/A</v>
      </c>
      <c r="L17" s="12" t="e">
        <f t="shared" si="3"/>
        <v>#N/A</v>
      </c>
      <c r="O17" s="11">
        <v>15</v>
      </c>
      <c r="P17" s="4">
        <v>2.5</v>
      </c>
      <c r="Q17" s="1">
        <v>3.1</v>
      </c>
      <c r="R17" s="7">
        <v>3.7</v>
      </c>
      <c r="S17" s="1">
        <v>4.3499999999999996</v>
      </c>
      <c r="T17" s="7">
        <v>5</v>
      </c>
      <c r="U17" s="1">
        <v>5.65</v>
      </c>
      <c r="V17" s="7">
        <v>6.3</v>
      </c>
      <c r="W17" s="1">
        <v>6.9</v>
      </c>
      <c r="X17" s="7">
        <v>7.5</v>
      </c>
      <c r="Y17" s="1">
        <v>8.15</v>
      </c>
      <c r="Z17" s="7">
        <v>8.8000000000000007</v>
      </c>
      <c r="AA17" s="1">
        <v>9.4499999999999993</v>
      </c>
      <c r="AB17" s="7">
        <v>10.1</v>
      </c>
      <c r="AC17" s="1">
        <v>10.75</v>
      </c>
      <c r="AD17" s="7">
        <v>11.4</v>
      </c>
      <c r="AE17" s="1">
        <v>12.05</v>
      </c>
      <c r="AF17" s="7">
        <v>12.7</v>
      </c>
    </row>
    <row r="18" spans="1:32">
      <c r="A18" s="4">
        <v>12</v>
      </c>
      <c r="B18" s="9">
        <f>109.44*$C$4/1000</f>
        <v>3348.864</v>
      </c>
      <c r="C18" s="2">
        <v>3000</v>
      </c>
      <c r="D18" s="10">
        <v>0.8</v>
      </c>
      <c r="E18" s="2">
        <v>27.5</v>
      </c>
      <c r="F18" s="2">
        <v>60</v>
      </c>
      <c r="G18" s="3">
        <f t="shared" si="0"/>
        <v>16.600000000000001</v>
      </c>
      <c r="H18" s="2">
        <v>-2.5</v>
      </c>
      <c r="I18" s="2">
        <v>70</v>
      </c>
      <c r="J18" s="3">
        <f t="shared" si="1"/>
        <v>2.6</v>
      </c>
      <c r="K18" s="1">
        <f t="shared" si="2"/>
        <v>204.70333333333301</v>
      </c>
      <c r="L18" s="12">
        <f t="shared" si="3"/>
        <v>40.709319177346103</v>
      </c>
      <c r="O18" s="11">
        <v>17.5</v>
      </c>
      <c r="P18" s="2">
        <v>2.95</v>
      </c>
      <c r="Q18" s="1">
        <v>3.7</v>
      </c>
      <c r="R18" s="1">
        <v>4.45</v>
      </c>
      <c r="S18" s="1">
        <v>5.2</v>
      </c>
      <c r="T18" s="1">
        <v>5.95</v>
      </c>
      <c r="U18" s="1">
        <v>6.7</v>
      </c>
      <c r="V18" s="1">
        <v>7.45</v>
      </c>
      <c r="W18" s="1">
        <v>8.1999999999999993</v>
      </c>
      <c r="X18" s="1">
        <v>8.9499999999999993</v>
      </c>
      <c r="Y18" s="1">
        <v>9.7249999999999996</v>
      </c>
      <c r="Z18" s="1">
        <v>10.5</v>
      </c>
      <c r="AA18" s="1">
        <v>11.25</v>
      </c>
      <c r="AB18" s="1">
        <v>12</v>
      </c>
      <c r="AC18" s="1">
        <v>12.775</v>
      </c>
      <c r="AD18" s="1">
        <v>13.55</v>
      </c>
      <c r="AE18" s="1">
        <v>14.324999999999999</v>
      </c>
      <c r="AF18" s="1">
        <v>15.1</v>
      </c>
    </row>
    <row r="19" spans="1:32">
      <c r="A19" s="4">
        <v>13</v>
      </c>
      <c r="B19" s="9">
        <f>120.84*$C$4/1000</f>
        <v>3697.7040000000002</v>
      </c>
      <c r="D19" s="10">
        <v>0.8</v>
      </c>
      <c r="G19" s="3" t="e">
        <f t="shared" si="0"/>
        <v>#N/A</v>
      </c>
      <c r="J19" s="3" t="e">
        <f t="shared" si="1"/>
        <v>#N/A</v>
      </c>
      <c r="K19" s="1" t="e">
        <f t="shared" si="2"/>
        <v>#N/A</v>
      </c>
      <c r="L19" s="12" t="e">
        <f t="shared" si="3"/>
        <v>#N/A</v>
      </c>
      <c r="O19" s="11">
        <v>20</v>
      </c>
      <c r="P19" s="4">
        <v>3.4</v>
      </c>
      <c r="Q19" s="1">
        <v>4.3</v>
      </c>
      <c r="R19" s="7">
        <v>5.2</v>
      </c>
      <c r="S19" s="1">
        <v>6.05</v>
      </c>
      <c r="T19" s="7">
        <v>6.9</v>
      </c>
      <c r="U19" s="1">
        <v>7.75</v>
      </c>
      <c r="V19" s="7">
        <v>8.6</v>
      </c>
      <c r="W19" s="1">
        <v>9.5</v>
      </c>
      <c r="X19" s="7">
        <v>10.4</v>
      </c>
      <c r="Y19" s="1">
        <v>11.3</v>
      </c>
      <c r="Z19" s="7">
        <v>12.2</v>
      </c>
      <c r="AA19" s="1">
        <v>13.05</v>
      </c>
      <c r="AB19" s="7">
        <v>13.9</v>
      </c>
      <c r="AC19" s="1">
        <v>14.8</v>
      </c>
      <c r="AD19" s="7">
        <v>15.7</v>
      </c>
      <c r="AE19" s="1">
        <v>16.600000000000001</v>
      </c>
      <c r="AF19" s="7">
        <v>17.5</v>
      </c>
    </row>
    <row r="20" spans="1:32">
      <c r="A20" s="4">
        <v>14</v>
      </c>
      <c r="B20" s="9">
        <f>132.24*$C$4/1000</f>
        <v>4046.5440000000003</v>
      </c>
      <c r="D20" s="10">
        <v>0.8</v>
      </c>
      <c r="G20" s="3" t="e">
        <f t="shared" ref="G20:G48" si="4">INDEX($P$7:$AF$25,MATCH(E20,$O$7:$O$25,0),MATCH(F20,$P$6:$AF$6,0))</f>
        <v>#N/A</v>
      </c>
      <c r="J20" s="3" t="e">
        <f t="shared" si="1"/>
        <v>#N/A</v>
      </c>
      <c r="K20" s="1" t="e">
        <f t="shared" si="2"/>
        <v>#N/A</v>
      </c>
      <c r="L20" s="12" t="e">
        <f t="shared" si="3"/>
        <v>#N/A</v>
      </c>
      <c r="O20" s="11">
        <v>22.5</v>
      </c>
      <c r="P20" s="2">
        <v>4</v>
      </c>
      <c r="Q20" s="1">
        <v>5.05</v>
      </c>
      <c r="R20" s="1">
        <v>6.1</v>
      </c>
      <c r="S20" s="1">
        <v>7.125</v>
      </c>
      <c r="T20" s="1">
        <v>8.15</v>
      </c>
      <c r="U20" s="1">
        <v>9.15</v>
      </c>
      <c r="V20" s="1">
        <v>10.15</v>
      </c>
      <c r="W20" s="1">
        <v>11.2</v>
      </c>
      <c r="X20" s="1">
        <v>12.25</v>
      </c>
      <c r="Y20" s="1">
        <v>13.324999999999999</v>
      </c>
      <c r="Z20" s="1">
        <v>14.4</v>
      </c>
      <c r="AA20" s="1">
        <v>15.425000000000001</v>
      </c>
      <c r="AB20" s="1">
        <v>16.45</v>
      </c>
      <c r="AC20" s="1">
        <v>17.5</v>
      </c>
      <c r="AD20" s="1">
        <v>18.55</v>
      </c>
      <c r="AE20" s="1">
        <v>19.625</v>
      </c>
      <c r="AF20" s="1">
        <v>20.7</v>
      </c>
    </row>
    <row r="21" spans="1:32">
      <c r="A21" s="4">
        <v>15</v>
      </c>
      <c r="B21" s="9">
        <f>144.02*$C$4/1000</f>
        <v>4407.0119999999997</v>
      </c>
      <c r="D21" s="10">
        <v>0.8</v>
      </c>
      <c r="G21" s="3" t="e">
        <f t="shared" si="4"/>
        <v>#N/A</v>
      </c>
      <c r="J21" s="3" t="e">
        <f t="shared" si="1"/>
        <v>#N/A</v>
      </c>
      <c r="K21" s="1" t="e">
        <f t="shared" si="2"/>
        <v>#N/A</v>
      </c>
      <c r="L21" s="12" t="e">
        <f t="shared" si="3"/>
        <v>#N/A</v>
      </c>
      <c r="O21" s="11">
        <v>25</v>
      </c>
      <c r="P21" s="4">
        <v>4.5999999999999996</v>
      </c>
      <c r="Q21" s="1">
        <v>5.8</v>
      </c>
      <c r="R21" s="7">
        <v>7</v>
      </c>
      <c r="S21" s="1">
        <v>8.1999999999999993</v>
      </c>
      <c r="T21" s="7">
        <v>9.4</v>
      </c>
      <c r="U21" s="1">
        <v>10.55</v>
      </c>
      <c r="V21" s="7">
        <v>11.7</v>
      </c>
      <c r="W21" s="1">
        <v>12.9</v>
      </c>
      <c r="X21" s="7">
        <v>14.1</v>
      </c>
      <c r="Y21" s="1">
        <v>15.35</v>
      </c>
      <c r="Z21" s="7">
        <v>16.600000000000001</v>
      </c>
      <c r="AA21" s="1">
        <v>17.8</v>
      </c>
      <c r="AB21" s="7">
        <v>19</v>
      </c>
      <c r="AC21" s="1">
        <v>20.2</v>
      </c>
      <c r="AD21" s="7">
        <v>21.4</v>
      </c>
      <c r="AE21" s="1">
        <v>22.65</v>
      </c>
      <c r="AF21" s="7">
        <v>23.9</v>
      </c>
    </row>
    <row r="22" spans="1:32">
      <c r="A22" s="4">
        <v>16</v>
      </c>
      <c r="B22" s="9">
        <f>155.61*$C$4/1000</f>
        <v>4761.6660000000002</v>
      </c>
      <c r="C22" s="2">
        <v>4200</v>
      </c>
      <c r="D22" s="10">
        <v>0.8</v>
      </c>
      <c r="E22" s="2">
        <v>32.5</v>
      </c>
      <c r="F22" s="2">
        <v>70</v>
      </c>
      <c r="G22" s="3">
        <f t="shared" si="4"/>
        <v>26.15</v>
      </c>
      <c r="H22" s="2">
        <v>15</v>
      </c>
      <c r="I22" s="2">
        <v>100</v>
      </c>
      <c r="J22" s="3">
        <f t="shared" si="1"/>
        <v>12.7</v>
      </c>
      <c r="K22" s="1">
        <f t="shared" si="2"/>
        <v>196.66141666666667</v>
      </c>
      <c r="L22" s="12">
        <f t="shared" si="3"/>
        <v>59.32361753724782</v>
      </c>
      <c r="O22" s="11">
        <v>27.5</v>
      </c>
      <c r="P22" s="2">
        <v>5.45</v>
      </c>
      <c r="Q22" s="1">
        <v>6.8250000000000002</v>
      </c>
      <c r="R22" s="1">
        <v>8.1999999999999993</v>
      </c>
      <c r="S22" s="1">
        <v>9.6</v>
      </c>
      <c r="T22" s="1">
        <v>11</v>
      </c>
      <c r="U22" s="1">
        <v>12.375</v>
      </c>
      <c r="V22" s="1">
        <v>13.75</v>
      </c>
      <c r="W22" s="1">
        <v>15.175000000000001</v>
      </c>
      <c r="X22" s="1">
        <v>16.600000000000001</v>
      </c>
      <c r="Y22" s="1">
        <v>18.05</v>
      </c>
      <c r="Z22" s="1">
        <v>19.5</v>
      </c>
      <c r="AA22" s="1">
        <v>20.925000000000001</v>
      </c>
      <c r="AB22" s="1">
        <v>22.35</v>
      </c>
      <c r="AC22" s="1">
        <v>23.774999999999999</v>
      </c>
      <c r="AD22" s="1">
        <v>25.2</v>
      </c>
      <c r="AE22" s="1">
        <v>26.675000000000001</v>
      </c>
      <c r="AF22" s="1">
        <v>28.15</v>
      </c>
    </row>
    <row r="23" spans="1:32">
      <c r="A23" s="4">
        <v>17</v>
      </c>
      <c r="B23" s="9">
        <f>167.39*$C$4/1000</f>
        <v>5122.134</v>
      </c>
      <c r="D23" s="10">
        <v>0.8</v>
      </c>
      <c r="G23" s="3" t="e">
        <f t="shared" si="4"/>
        <v>#N/A</v>
      </c>
      <c r="J23" s="3" t="e">
        <f t="shared" si="1"/>
        <v>#N/A</v>
      </c>
      <c r="K23" s="1" t="e">
        <f t="shared" si="2"/>
        <v>#N/A</v>
      </c>
      <c r="L23" s="12" t="e">
        <f t="shared" si="3"/>
        <v>#N/A</v>
      </c>
      <c r="O23" s="11">
        <v>30</v>
      </c>
      <c r="P23" s="4">
        <v>6.3</v>
      </c>
      <c r="Q23" s="1">
        <v>7.85</v>
      </c>
      <c r="R23" s="7">
        <v>9.4</v>
      </c>
      <c r="S23" s="1">
        <v>11</v>
      </c>
      <c r="T23" s="7">
        <v>12.6</v>
      </c>
      <c r="U23" s="1">
        <v>14.2</v>
      </c>
      <c r="V23" s="7">
        <v>15.8</v>
      </c>
      <c r="W23" s="1">
        <v>17.45</v>
      </c>
      <c r="X23" s="7">
        <v>19.100000000000001</v>
      </c>
      <c r="Y23" s="1">
        <v>20.75</v>
      </c>
      <c r="Z23" s="7">
        <v>22.4</v>
      </c>
      <c r="AA23" s="1">
        <v>24.05</v>
      </c>
      <c r="AB23" s="7">
        <v>25.7</v>
      </c>
      <c r="AC23" s="1">
        <v>27.35</v>
      </c>
      <c r="AD23" s="7">
        <v>29</v>
      </c>
      <c r="AE23" s="1">
        <v>30.7</v>
      </c>
      <c r="AF23" s="7">
        <v>32.4</v>
      </c>
    </row>
    <row r="24" spans="1:32">
      <c r="A24" s="4">
        <v>18</v>
      </c>
      <c r="B24" s="9">
        <f>179.17*$C$4/1000</f>
        <v>5482.6019999999999</v>
      </c>
      <c r="D24" s="10">
        <v>0.8</v>
      </c>
      <c r="G24" s="3" t="e">
        <f t="shared" si="4"/>
        <v>#N/A</v>
      </c>
      <c r="J24" s="3" t="e">
        <f t="shared" si="1"/>
        <v>#N/A</v>
      </c>
      <c r="K24" s="1" t="e">
        <f t="shared" si="2"/>
        <v>#N/A</v>
      </c>
      <c r="L24" s="12" t="e">
        <f t="shared" si="3"/>
        <v>#N/A</v>
      </c>
      <c r="O24" s="11">
        <v>32.5</v>
      </c>
      <c r="P24" s="2">
        <v>7.3</v>
      </c>
      <c r="Q24" s="1">
        <v>9.125</v>
      </c>
      <c r="R24" s="1">
        <v>10.95</v>
      </c>
      <c r="S24" s="1">
        <v>12.824999999999999</v>
      </c>
      <c r="T24" s="1">
        <v>14.7</v>
      </c>
      <c r="U24" s="1">
        <v>16.574999999999999</v>
      </c>
      <c r="V24" s="1">
        <v>18.45</v>
      </c>
      <c r="W24" s="1">
        <v>20.375</v>
      </c>
      <c r="X24" s="1">
        <v>22.3</v>
      </c>
      <c r="Y24" s="1">
        <v>24.225000000000001</v>
      </c>
      <c r="Z24" s="1">
        <v>26.15</v>
      </c>
      <c r="AA24" s="1">
        <v>28.1</v>
      </c>
      <c r="AB24" s="1">
        <v>30.05</v>
      </c>
      <c r="AC24" s="1">
        <v>32</v>
      </c>
      <c r="AD24" s="1">
        <v>33.950000000000003</v>
      </c>
      <c r="AE24" s="1">
        <v>35.950000000000003</v>
      </c>
      <c r="AF24" s="1">
        <v>37.950000000000003</v>
      </c>
    </row>
    <row r="25" spans="1:32">
      <c r="A25" s="4">
        <v>19</v>
      </c>
      <c r="B25" s="9">
        <f>190.76*$C$4/1000</f>
        <v>5837.2560000000003</v>
      </c>
      <c r="D25" s="10">
        <v>0.8</v>
      </c>
      <c r="G25" s="3" t="e">
        <f t="shared" si="4"/>
        <v>#N/A</v>
      </c>
      <c r="J25" s="3" t="e">
        <f t="shared" si="1"/>
        <v>#N/A</v>
      </c>
      <c r="K25" s="1" t="e">
        <f t="shared" si="2"/>
        <v>#N/A</v>
      </c>
      <c r="L25" s="12" t="e">
        <f t="shared" si="3"/>
        <v>#N/A</v>
      </c>
      <c r="O25" s="11">
        <v>35</v>
      </c>
      <c r="P25" s="4">
        <v>8.3000000000000007</v>
      </c>
      <c r="Q25" s="1">
        <v>10.4</v>
      </c>
      <c r="R25" s="7">
        <v>12.5</v>
      </c>
      <c r="S25" s="1">
        <v>14.65</v>
      </c>
      <c r="T25" s="7">
        <v>16.8</v>
      </c>
      <c r="U25" s="1">
        <v>18.95</v>
      </c>
      <c r="V25" s="7">
        <v>21.1</v>
      </c>
      <c r="W25" s="1">
        <v>23.3</v>
      </c>
      <c r="X25" s="7">
        <v>25.5</v>
      </c>
      <c r="Y25" s="1">
        <v>27.7</v>
      </c>
      <c r="Z25" s="7">
        <v>29.9</v>
      </c>
      <c r="AA25" s="1">
        <v>32.15</v>
      </c>
      <c r="AB25" s="7">
        <v>34.4</v>
      </c>
      <c r="AC25" s="1">
        <v>36.65</v>
      </c>
      <c r="AD25" s="7">
        <v>38.9</v>
      </c>
      <c r="AE25" s="1">
        <v>41.2</v>
      </c>
      <c r="AF25" s="7">
        <v>43.5</v>
      </c>
    </row>
    <row r="26" spans="1:32">
      <c r="A26" s="4">
        <v>20</v>
      </c>
      <c r="B26" s="9">
        <f>202.35*$C$4/1000</f>
        <v>6191.91</v>
      </c>
      <c r="D26" s="10">
        <v>0.8</v>
      </c>
      <c r="G26" s="3" t="e">
        <f t="shared" si="4"/>
        <v>#N/A</v>
      </c>
      <c r="J26" s="3" t="e">
        <f t="shared" si="1"/>
        <v>#N/A</v>
      </c>
      <c r="K26" s="1" t="e">
        <f t="shared" si="2"/>
        <v>#N/A</v>
      </c>
      <c r="L26" s="12" t="e">
        <f t="shared" si="3"/>
        <v>#N/A</v>
      </c>
    </row>
    <row r="27" spans="1:32">
      <c r="A27" s="4">
        <v>21</v>
      </c>
      <c r="B27" s="9">
        <f>213.75*$C$4/1000</f>
        <v>6540.75</v>
      </c>
      <c r="D27" s="10">
        <v>0.8</v>
      </c>
      <c r="G27" s="3" t="e">
        <f t="shared" si="4"/>
        <v>#N/A</v>
      </c>
      <c r="J27" s="3" t="e">
        <f t="shared" si="1"/>
        <v>#N/A</v>
      </c>
      <c r="K27" s="1" t="e">
        <f t="shared" si="2"/>
        <v>#N/A</v>
      </c>
      <c r="L27" s="12" t="e">
        <f t="shared" si="3"/>
        <v>#N/A</v>
      </c>
    </row>
    <row r="28" spans="1:32">
      <c r="A28" s="4">
        <v>22</v>
      </c>
      <c r="B28" s="9">
        <f>224.96*$C$4/1000</f>
        <v>6883.7759999999998</v>
      </c>
      <c r="D28" s="10">
        <v>0.8</v>
      </c>
      <c r="G28" s="3" t="e">
        <f t="shared" si="4"/>
        <v>#N/A</v>
      </c>
      <c r="J28" s="3" t="e">
        <f t="shared" si="1"/>
        <v>#N/A</v>
      </c>
      <c r="K28" s="1" t="e">
        <f t="shared" si="2"/>
        <v>#N/A</v>
      </c>
      <c r="L28" s="12" t="e">
        <f t="shared" si="3"/>
        <v>#N/A</v>
      </c>
    </row>
    <row r="29" spans="1:32">
      <c r="A29" s="4">
        <v>23</v>
      </c>
      <c r="B29" s="9">
        <f>235.98*$C$4/1000</f>
        <v>7220.9880000000003</v>
      </c>
      <c r="D29" s="10">
        <v>0.8</v>
      </c>
      <c r="G29" s="3" t="e">
        <f t="shared" si="4"/>
        <v>#N/A</v>
      </c>
      <c r="J29" s="3" t="e">
        <f t="shared" si="1"/>
        <v>#N/A</v>
      </c>
      <c r="K29" s="1" t="e">
        <f t="shared" si="2"/>
        <v>#N/A</v>
      </c>
      <c r="L29" s="12" t="e">
        <f t="shared" si="3"/>
        <v>#N/A</v>
      </c>
    </row>
    <row r="30" spans="1:32">
      <c r="A30" s="4">
        <v>24</v>
      </c>
      <c r="B30" s="9">
        <f>246.62*$C$4/1000</f>
        <v>7546.5720000000001</v>
      </c>
      <c r="D30" s="10">
        <v>0.8</v>
      </c>
      <c r="G30" s="3" t="e">
        <f t="shared" si="4"/>
        <v>#N/A</v>
      </c>
      <c r="J30" s="3" t="e">
        <f t="shared" si="1"/>
        <v>#N/A</v>
      </c>
      <c r="K30" s="1" t="e">
        <f t="shared" si="2"/>
        <v>#N/A</v>
      </c>
      <c r="L30" s="12" t="e">
        <f t="shared" si="3"/>
        <v>#N/A</v>
      </c>
    </row>
    <row r="31" spans="1:32">
      <c r="A31" s="4">
        <v>25</v>
      </c>
      <c r="B31" s="9">
        <f>257.07*$C$4/1000</f>
        <v>7866.3419999999996</v>
      </c>
      <c r="D31" s="10">
        <v>0.8</v>
      </c>
      <c r="G31" s="3" t="e">
        <f t="shared" si="4"/>
        <v>#N/A</v>
      </c>
      <c r="J31" s="3" t="e">
        <f t="shared" si="1"/>
        <v>#N/A</v>
      </c>
      <c r="K31" s="1" t="e">
        <f t="shared" si="2"/>
        <v>#N/A</v>
      </c>
      <c r="L31" s="12" t="e">
        <f t="shared" si="3"/>
        <v>#N/A</v>
      </c>
    </row>
    <row r="32" spans="1:32">
      <c r="A32" s="4">
        <v>26</v>
      </c>
      <c r="B32" s="9">
        <f>267.33*$C$4/1000</f>
        <v>8180.2979999999989</v>
      </c>
      <c r="D32" s="10">
        <v>0.8</v>
      </c>
      <c r="G32" s="3" t="e">
        <f t="shared" si="4"/>
        <v>#N/A</v>
      </c>
      <c r="J32" s="3" t="e">
        <f t="shared" si="1"/>
        <v>#N/A</v>
      </c>
      <c r="K32" s="1" t="e">
        <f t="shared" si="2"/>
        <v>#N/A</v>
      </c>
      <c r="L32" s="12" t="e">
        <f t="shared" si="3"/>
        <v>#N/A</v>
      </c>
    </row>
    <row r="33" spans="1:12">
      <c r="A33" s="4">
        <v>27</v>
      </c>
      <c r="B33" s="9">
        <f>277.02*$C$4/1000</f>
        <v>8476.8119999999999</v>
      </c>
      <c r="D33" s="10">
        <v>0.8</v>
      </c>
      <c r="G33" s="3" t="e">
        <f t="shared" si="4"/>
        <v>#N/A</v>
      </c>
      <c r="J33" s="3" t="e">
        <f t="shared" si="1"/>
        <v>#N/A</v>
      </c>
      <c r="K33" s="1" t="e">
        <f t="shared" si="2"/>
        <v>#N/A</v>
      </c>
      <c r="L33" s="12" t="e">
        <f t="shared" si="3"/>
        <v>#N/A</v>
      </c>
    </row>
    <row r="34" spans="1:12">
      <c r="A34" s="4">
        <v>28</v>
      </c>
      <c r="B34" s="9">
        <f>286.52*$C$4/1000</f>
        <v>8767.5120000000006</v>
      </c>
      <c r="D34" s="10">
        <v>0.8</v>
      </c>
      <c r="G34" s="3" t="e">
        <f t="shared" si="4"/>
        <v>#N/A</v>
      </c>
      <c r="J34" s="3" t="e">
        <f t="shared" si="1"/>
        <v>#N/A</v>
      </c>
      <c r="K34" s="1" t="e">
        <f t="shared" si="2"/>
        <v>#N/A</v>
      </c>
      <c r="L34" s="12" t="e">
        <f t="shared" si="3"/>
        <v>#N/A</v>
      </c>
    </row>
    <row r="35" spans="1:12">
      <c r="A35" s="4">
        <v>29</v>
      </c>
      <c r="B35" s="9">
        <f>295.45*$C$4/1000</f>
        <v>9040.77</v>
      </c>
      <c r="D35" s="10">
        <v>0.8</v>
      </c>
      <c r="G35" s="3" t="e">
        <f t="shared" si="4"/>
        <v>#N/A</v>
      </c>
      <c r="J35" s="3" t="e">
        <f t="shared" si="1"/>
        <v>#N/A</v>
      </c>
      <c r="K35" s="1" t="e">
        <f t="shared" si="2"/>
        <v>#N/A</v>
      </c>
      <c r="L35" s="12" t="e">
        <f t="shared" si="3"/>
        <v>#N/A</v>
      </c>
    </row>
    <row r="36" spans="1:12">
      <c r="A36" s="4">
        <v>30</v>
      </c>
      <c r="B36" s="9">
        <f>304.19*$C$4/1000</f>
        <v>9308.2139999999999</v>
      </c>
      <c r="D36" s="10">
        <v>0.8</v>
      </c>
      <c r="G36" s="3" t="e">
        <f t="shared" si="4"/>
        <v>#N/A</v>
      </c>
      <c r="J36" s="3" t="e">
        <f t="shared" si="1"/>
        <v>#N/A</v>
      </c>
      <c r="K36" s="1" t="e">
        <f t="shared" si="2"/>
        <v>#N/A</v>
      </c>
      <c r="L36" s="12" t="e">
        <f t="shared" si="3"/>
        <v>#N/A</v>
      </c>
    </row>
    <row r="37" spans="1:12">
      <c r="A37" s="4">
        <v>31</v>
      </c>
      <c r="B37" s="9">
        <f>312.36*$C$4/1000</f>
        <v>9558.2160000000003</v>
      </c>
      <c r="D37" s="10">
        <v>0.8</v>
      </c>
      <c r="G37" s="3" t="e">
        <f t="shared" si="4"/>
        <v>#N/A</v>
      </c>
      <c r="J37" s="3" t="e">
        <f t="shared" si="1"/>
        <v>#N/A</v>
      </c>
      <c r="K37" s="1" t="e">
        <f t="shared" si="2"/>
        <v>#N/A</v>
      </c>
      <c r="L37" s="12" t="e">
        <f t="shared" si="3"/>
        <v>#N/A</v>
      </c>
    </row>
    <row r="38" spans="1:12">
      <c r="A38" s="4">
        <v>32</v>
      </c>
      <c r="B38" s="9">
        <f>320.15*$C$4/1000</f>
        <v>9796.59</v>
      </c>
      <c r="D38" s="10">
        <v>0.8</v>
      </c>
      <c r="G38" s="3" t="e">
        <f t="shared" si="4"/>
        <v>#N/A</v>
      </c>
      <c r="J38" s="3" t="e">
        <f t="shared" si="1"/>
        <v>#N/A</v>
      </c>
      <c r="K38" s="1" t="e">
        <f t="shared" si="2"/>
        <v>#N/A</v>
      </c>
      <c r="L38" s="12" t="e">
        <f t="shared" si="3"/>
        <v>#N/A</v>
      </c>
    </row>
    <row r="39" spans="1:12">
      <c r="A39" s="4">
        <v>33</v>
      </c>
      <c r="B39" s="9">
        <f>327.37*$C$4/1000</f>
        <v>10017.522000000001</v>
      </c>
      <c r="D39" s="10">
        <v>0.8</v>
      </c>
      <c r="G39" s="3" t="e">
        <f t="shared" si="4"/>
        <v>#N/A</v>
      </c>
      <c r="J39" s="3" t="e">
        <f t="shared" si="1"/>
        <v>#N/A</v>
      </c>
      <c r="K39" s="1" t="e">
        <f t="shared" si="2"/>
        <v>#N/A</v>
      </c>
      <c r="L39" s="12" t="e">
        <f t="shared" si="3"/>
        <v>#N/A</v>
      </c>
    </row>
    <row r="40" spans="1:12">
      <c r="A40" s="4">
        <v>34</v>
      </c>
      <c r="B40" s="9">
        <f>334.21*$C$4/1000</f>
        <v>10226.825999999999</v>
      </c>
      <c r="D40" s="10">
        <v>0.8</v>
      </c>
      <c r="G40" s="3" t="e">
        <f t="shared" si="4"/>
        <v>#N/A</v>
      </c>
      <c r="J40" s="3" t="e">
        <f t="shared" si="1"/>
        <v>#N/A</v>
      </c>
      <c r="K40" s="1" t="e">
        <f t="shared" si="2"/>
        <v>#N/A</v>
      </c>
      <c r="L40" s="12" t="e">
        <f t="shared" si="3"/>
        <v>#N/A</v>
      </c>
    </row>
    <row r="41" spans="1:12">
      <c r="A41" s="4">
        <v>35</v>
      </c>
      <c r="B41" s="9">
        <f>340.48*$C$4/1000</f>
        <v>10418.688</v>
      </c>
      <c r="D41" s="10">
        <v>0.8</v>
      </c>
      <c r="G41" s="3" t="e">
        <f t="shared" si="4"/>
        <v>#N/A</v>
      </c>
      <c r="J41" s="3" t="e">
        <f t="shared" si="1"/>
        <v>#N/A</v>
      </c>
      <c r="K41" s="1" t="e">
        <f t="shared" si="2"/>
        <v>#N/A</v>
      </c>
      <c r="L41" s="12" t="e">
        <f t="shared" si="3"/>
        <v>#N/A</v>
      </c>
    </row>
    <row r="42" spans="1:12">
      <c r="A42" s="4">
        <v>36</v>
      </c>
      <c r="B42" s="9">
        <f>346.37*$C$4/1000</f>
        <v>10598.922</v>
      </c>
      <c r="D42" s="10">
        <v>0.8</v>
      </c>
      <c r="G42" s="3" t="e">
        <f t="shared" si="4"/>
        <v>#N/A</v>
      </c>
      <c r="J42" s="3" t="e">
        <f t="shared" ref="J42:J48" si="5">INDEX($P$7:$AF$25,MATCH(H42,$O$7:$O$25,0),MATCH(I42,$P$6:$AF$6,0))</f>
        <v>#N/A</v>
      </c>
      <c r="K42" s="1" t="e">
        <f t="shared" si="2"/>
        <v>#N/A</v>
      </c>
      <c r="L42" s="12" t="e">
        <f t="shared" si="3"/>
        <v>#N/A</v>
      </c>
    </row>
    <row r="43" spans="1:12">
      <c r="A43" s="4">
        <v>37</v>
      </c>
      <c r="B43" s="9">
        <f>351.88*$C$4/1000</f>
        <v>10767.528</v>
      </c>
      <c r="D43" s="10">
        <v>0.8</v>
      </c>
      <c r="G43" s="3" t="e">
        <f t="shared" si="4"/>
        <v>#N/A</v>
      </c>
      <c r="J43" s="3" t="e">
        <f t="shared" si="5"/>
        <v>#N/A</v>
      </c>
      <c r="K43" s="1" t="e">
        <f t="shared" si="2"/>
        <v>#N/A</v>
      </c>
      <c r="L43" s="12" t="e">
        <f t="shared" si="3"/>
        <v>#N/A</v>
      </c>
    </row>
    <row r="44" spans="1:12">
      <c r="A44" s="4">
        <v>38</v>
      </c>
      <c r="B44" s="9">
        <f>356.82*$C$4/1000</f>
        <v>10918.691999999999</v>
      </c>
      <c r="D44" s="10">
        <v>0.8</v>
      </c>
      <c r="G44" s="3" t="e">
        <f t="shared" si="4"/>
        <v>#N/A</v>
      </c>
      <c r="J44" s="3" t="e">
        <f t="shared" si="5"/>
        <v>#N/A</v>
      </c>
      <c r="K44" s="1" t="e">
        <f t="shared" si="2"/>
        <v>#N/A</v>
      </c>
      <c r="L44" s="12" t="e">
        <f t="shared" si="3"/>
        <v>#N/A</v>
      </c>
    </row>
    <row r="45" spans="1:12">
      <c r="A45" s="4">
        <v>39</v>
      </c>
      <c r="B45" s="9">
        <f>361.19*$C$4/1000</f>
        <v>11052.414000000001</v>
      </c>
      <c r="D45" s="10">
        <v>0.8</v>
      </c>
      <c r="G45" s="3" t="e">
        <f t="shared" si="4"/>
        <v>#N/A</v>
      </c>
      <c r="J45" s="3" t="e">
        <f t="shared" si="5"/>
        <v>#N/A</v>
      </c>
      <c r="K45" s="1" t="e">
        <f t="shared" si="2"/>
        <v>#N/A</v>
      </c>
      <c r="L45" s="12" t="e">
        <f t="shared" si="3"/>
        <v>#N/A</v>
      </c>
    </row>
    <row r="46" spans="1:12">
      <c r="A46" s="4">
        <v>40</v>
      </c>
      <c r="B46" s="9">
        <f>365.18*$C$4/1000</f>
        <v>11174.508</v>
      </c>
      <c r="D46" s="10">
        <v>0.8</v>
      </c>
      <c r="G46" s="3" t="e">
        <f t="shared" si="4"/>
        <v>#N/A</v>
      </c>
      <c r="J46" s="3" t="e">
        <f t="shared" si="5"/>
        <v>#N/A</v>
      </c>
      <c r="K46" s="1" t="e">
        <f t="shared" si="2"/>
        <v>#N/A</v>
      </c>
      <c r="L46" s="12" t="e">
        <f t="shared" si="3"/>
        <v>#N/A</v>
      </c>
    </row>
    <row r="47" spans="1:12">
      <c r="A47" s="4">
        <v>41</v>
      </c>
      <c r="B47" s="9">
        <f>368.6*$C$4/1000</f>
        <v>11279.16</v>
      </c>
      <c r="D47" s="10">
        <v>0.8</v>
      </c>
      <c r="G47" s="3" t="e">
        <f t="shared" si="4"/>
        <v>#N/A</v>
      </c>
      <c r="J47" s="3" t="e">
        <f t="shared" si="5"/>
        <v>#N/A</v>
      </c>
      <c r="K47" s="1" t="e">
        <f t="shared" si="2"/>
        <v>#N/A</v>
      </c>
      <c r="L47" s="12" t="e">
        <f t="shared" si="3"/>
        <v>#N/A</v>
      </c>
    </row>
    <row r="48" spans="1:12">
      <c r="A48" s="4">
        <v>42</v>
      </c>
      <c r="B48" s="9">
        <f>24*$C$4/1000</f>
        <v>734.4</v>
      </c>
      <c r="D48" s="10">
        <v>0.8</v>
      </c>
      <c r="G48" s="3" t="e">
        <f t="shared" si="4"/>
        <v>#N/A</v>
      </c>
      <c r="J48" s="3" t="e">
        <f t="shared" si="5"/>
        <v>#N/A</v>
      </c>
      <c r="K48" s="1" t="e">
        <f t="shared" si="2"/>
        <v>#N/A</v>
      </c>
      <c r="L48" s="12" t="e">
        <f t="shared" si="3"/>
        <v>#N/A</v>
      </c>
    </row>
    <row r="49" spans="11:11">
      <c r="K49" s="1">
        <f>(G49-J49)*F46</f>
        <v>0</v>
      </c>
    </row>
  </sheetData>
  <mergeCells count="1">
    <mergeCell ref="A1:L3"/>
  </mergeCells>
  <phoneticPr fontId="5" type="noConversion"/>
  <pageMargins left="0.69930555555555596" right="0.69930555555555596" top="0.75" bottom="0.75" header="0.3" footer="0.3"/>
  <pageSetup paperSize="9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舍号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2017-01-18T13:15:00Z</dcterms:created>
  <dcterms:modified xsi:type="dcterms:W3CDTF">2017-05-15T11:44:26Z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2052-10.1.0.6135</vt:lpwstr>
  </property>
</Properties>
</file>